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imulation Model" sheetId="6" r:id="rId1"/>
    <sheet name="Simulation Output" sheetId="2" r:id="rId2"/>
    <sheet name="Optimization Model" sheetId="1" r:id="rId3"/>
    <sheet name="Frontier" sheetId="5" r:id="rId4"/>
    <sheet name="Mixers" sheetId="3" r:id="rId5"/>
  </sheets>
  <definedNames>
    <definedName name="solver_adj" localSheetId="2" hidden="1">'Optimization Model'!$C$7:$E$21,'Optimization Model'!$L$5,'Optimization Model'!$Q$5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bd" localSheetId="2" hidden="1">2</definedName>
    <definedName name="solver_itr" localSheetId="2" hidden="1">100</definedName>
    <definedName name="solver_lhs1" localSheetId="2" hidden="1">'Optimization Model'!$B$25</definedName>
    <definedName name="solver_lhs2" localSheetId="2" hidden="1">'Optimization Model'!$B$25</definedName>
    <definedName name="solver_lhs3" localSheetId="2" hidden="1">'Optimization Model'!$B$26</definedName>
    <definedName name="solver_lhs4" localSheetId="2" hidden="1">'Optimization Model'!$B$28:$B$32</definedName>
    <definedName name="solver_lhs5" localSheetId="2" hidden="1">'Optimization Model'!$C$7:$E$21</definedName>
    <definedName name="solver_lhs6" localSheetId="2" hidden="1">'Optimization Model'!$L$5</definedName>
    <definedName name="solver_lhs7" localSheetId="2" hidden="1">'Optimization Model'!$Q$5</definedName>
    <definedName name="solver_lin" localSheetId="2" hidden="1">2</definedName>
    <definedName name="solver_lva" localSheetId="2" hidden="1">2</definedName>
    <definedName name="solver_mip" localSheetId="2" hidden="1">5000</definedName>
    <definedName name="solver_mni" localSheetId="2" hidden="1">30</definedName>
    <definedName name="solver_mrt" localSheetId="2" hidden="1">0.075</definedName>
    <definedName name="solver_neg" localSheetId="2" hidden="1">1</definedName>
    <definedName name="solver_nod" localSheetId="2" hidden="1">5000</definedName>
    <definedName name="solver_num" localSheetId="2" hidden="1">7</definedName>
    <definedName name="solver_nwt" localSheetId="2" hidden="1">1</definedName>
    <definedName name="solver_ofx" localSheetId="2" hidden="1">2</definedName>
    <definedName name="solver_opt" localSheetId="2" hidden="1">'Optimization Model'!$B$1</definedName>
    <definedName name="solver_piv" localSheetId="2" hidden="1">0.000001</definedName>
    <definedName name="solver_pre" localSheetId="2" hidden="1">0.000001</definedName>
    <definedName name="solver_pro" localSheetId="2" hidden="1">2</definedName>
    <definedName name="solver_rbv" localSheetId="2" hidden="1">1</definedName>
    <definedName name="solver_red" localSheetId="2" hidden="1">0.000001</definedName>
    <definedName name="solver_rel1" localSheetId="2" hidden="1">1</definedName>
    <definedName name="solver_rel2" localSheetId="2" hidden="1">3</definedName>
    <definedName name="solver_rel3" localSheetId="2" hidden="1">1</definedName>
    <definedName name="solver_rel4" localSheetId="2" hidden="1">3</definedName>
    <definedName name="solver_rel5" localSheetId="2" hidden="1">4</definedName>
    <definedName name="solver_rel6" localSheetId="2" hidden="1">5</definedName>
    <definedName name="solver_rel7" localSheetId="2" hidden="1">5</definedName>
    <definedName name="solver_reo" localSheetId="2" hidden="1">2</definedName>
    <definedName name="solver_rep" localSheetId="2" hidden="1">2</definedName>
    <definedName name="solver_rhs1" localSheetId="2" hidden="1">'Optimization Model'!$F$25</definedName>
    <definedName name="solver_rhs2" localSheetId="2" hidden="1">'Optimization Model'!$D$25</definedName>
    <definedName name="solver_rhs3" localSheetId="2" hidden="1">'Optimization Model'!$D$26</definedName>
    <definedName name="solver_rhs4" localSheetId="2" hidden="1">'Optimization Model'!$D$28:$D$32</definedName>
    <definedName name="solver_rhs5" localSheetId="2" hidden="1">integer</definedName>
    <definedName name="solver_rhs6" localSheetId="2" hidden="1">binary</definedName>
    <definedName name="solver_rhs7" localSheetId="2" hidden="1">binary</definedName>
    <definedName name="solver_rlx" localSheetId="2" hidden="1">2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std" localSheetId="2" hidden="1">0</definedName>
    <definedName name="solver_tim" localSheetId="2" hidden="1">100</definedName>
    <definedName name="solver_tol" localSheetId="2" hidden="1">0.0005</definedName>
    <definedName name="solver_typ" localSheetId="2" hidden="1">1</definedName>
    <definedName name="solver_val" localSheetId="2" hidden="1">0</definedName>
    <definedName name="solver_ver" localSheetId="2" hidden="1">2</definedName>
  </definedNames>
  <calcPr calcId="125725"/>
</workbook>
</file>

<file path=xl/calcChain.xml><?xml version="1.0" encoding="utf-8"?>
<calcChain xmlns="http://schemas.openxmlformats.org/spreadsheetml/2006/main">
  <c r="B10" i="6"/>
  <c r="B3"/>
  <c r="B4" s="1"/>
  <c r="C9" l="1"/>
  <c r="C8"/>
  <c r="C10" l="1"/>
  <c r="B17" s="1"/>
  <c r="B18" s="1"/>
  <c r="B19" s="1"/>
  <c r="L4" i="3"/>
  <c r="L2"/>
  <c r="F29" i="1"/>
  <c r="B4" i="3" s="1"/>
  <c r="C4" s="1"/>
  <c r="F4" s="1"/>
  <c r="G4" s="1"/>
  <c r="H4" s="1"/>
  <c r="I4" s="1"/>
  <c r="J4" s="1"/>
  <c r="F30" i="1"/>
  <c r="B5" i="3" s="1"/>
  <c r="C5" s="1"/>
  <c r="F31" i="1"/>
  <c r="B7" i="3" s="1"/>
  <c r="C7" s="1"/>
  <c r="F7" s="1"/>
  <c r="G7" s="1"/>
  <c r="H7" s="1"/>
  <c r="I7" s="1"/>
  <c r="J7" s="1"/>
  <c r="F32" i="1"/>
  <c r="B8" i="3" s="1"/>
  <c r="F28" i="1"/>
  <c r="L23"/>
  <c r="D25"/>
  <c r="F25" s="1"/>
  <c r="B32"/>
  <c r="B31"/>
  <c r="B30"/>
  <c r="B29"/>
  <c r="B28"/>
  <c r="B2" i="3" l="1"/>
  <c r="C2" s="1"/>
  <c r="F3" s="1"/>
  <c r="G3" s="1"/>
  <c r="H3" s="1"/>
  <c r="I3" s="1"/>
  <c r="F5"/>
  <c r="G5" s="1"/>
  <c r="H5" s="1"/>
  <c r="I5" s="1"/>
  <c r="F6"/>
  <c r="G6" s="1"/>
  <c r="H6" s="1"/>
  <c r="I6" s="1"/>
  <c r="Q23" i="1"/>
  <c r="D22"/>
  <c r="E22"/>
  <c r="C22"/>
  <c r="B1"/>
  <c r="F2" i="3" l="1"/>
  <c r="G2" s="1"/>
  <c r="H2" s="1"/>
  <c r="I2" s="1"/>
  <c r="E14" s="1"/>
  <c r="E16"/>
  <c r="J5"/>
  <c r="F16" s="1"/>
  <c r="E15"/>
  <c r="J3"/>
  <c r="F15" s="1"/>
  <c r="J6"/>
  <c r="F17" s="1"/>
  <c r="E17"/>
  <c r="B25" i="1"/>
  <c r="Q24"/>
  <c r="Q25" s="1"/>
  <c r="Q26" s="1"/>
  <c r="L24"/>
  <c r="L25" s="1"/>
  <c r="L26" s="1"/>
  <c r="J2" i="3" l="1"/>
  <c r="F14" s="1"/>
  <c r="F18" s="1"/>
  <c r="F20" s="1"/>
  <c r="E18"/>
  <c r="B26" i="1"/>
</calcChain>
</file>

<file path=xl/comments1.xml><?xml version="1.0" encoding="utf-8"?>
<comments xmlns="http://schemas.openxmlformats.org/spreadsheetml/2006/main">
  <authors>
    <author>ajg292</author>
  </authors>
  <commentList>
    <comment ref="B3" authorId="0">
      <text>
        <r>
          <rPr>
            <b/>
            <sz val="10"/>
            <color indexed="81"/>
            <rFont val="Arial"/>
            <family val="2"/>
          </rPr>
          <t>=RAND()</t>
        </r>
      </text>
    </comment>
    <comment ref="B4" authorId="0">
      <text>
        <r>
          <rPr>
            <b/>
            <sz val="10"/>
            <color indexed="81"/>
            <rFont val="Arial"/>
            <family val="2"/>
          </rPr>
          <t>=IF(B3&gt;$B$2,0,1)</t>
        </r>
      </text>
    </comment>
    <comment ref="C8" authorId="0">
      <text>
        <r>
          <rPr>
            <b/>
            <sz val="10"/>
            <color indexed="81"/>
            <rFont val="Arial"/>
            <family val="2"/>
          </rPr>
          <t>=IF($B$4=1,B8*0.75,B8)</t>
        </r>
      </text>
    </comment>
    <comment ref="C9" authorId="0">
      <text>
        <r>
          <rPr>
            <b/>
            <sz val="10"/>
            <color indexed="81"/>
            <rFont val="Arial"/>
            <family val="2"/>
          </rPr>
          <t>=IF($B$4=1,B9*0.5,B9*0.75)</t>
        </r>
      </text>
    </comment>
    <comment ref="B17" authorId="0">
      <text>
        <r>
          <rPr>
            <b/>
            <sz val="10"/>
            <color indexed="81"/>
            <rFont val="Arial"/>
            <family val="2"/>
          </rPr>
          <t>=B14*B13*C10</t>
        </r>
      </text>
    </comment>
    <comment ref="B18" authorId="0">
      <text>
        <r>
          <rPr>
            <b/>
            <sz val="10"/>
            <color indexed="81"/>
            <rFont val="Arial"/>
            <family val="2"/>
          </rPr>
          <t>=0.0295735296*B17</t>
        </r>
      </text>
    </comment>
    <comment ref="B19" authorId="0">
      <text>
        <r>
          <rPr>
            <b/>
            <sz val="10"/>
            <color indexed="81"/>
            <rFont val="Arial"/>
            <family val="2"/>
          </rPr>
          <t>=B18*1000</t>
        </r>
      </text>
    </comment>
  </commentList>
</comments>
</file>

<file path=xl/comments2.xml><?xml version="1.0" encoding="utf-8"?>
<comments xmlns="http://schemas.openxmlformats.org/spreadsheetml/2006/main">
  <authors>
    <author>ajg292</author>
  </authors>
  <commentList>
    <comment ref="B1" authorId="0">
      <text>
        <r>
          <rPr>
            <b/>
            <sz val="10"/>
            <color indexed="81"/>
            <rFont val="Arial"/>
            <family val="2"/>
          </rPr>
          <t>=SUMPRODUCT(C5:E19,G5:I19)</t>
        </r>
      </text>
    </comment>
    <comment ref="L23" authorId="0">
      <text>
        <r>
          <rPr>
            <b/>
            <sz val="10"/>
            <color indexed="81"/>
            <rFont val="Arial"/>
            <family val="2"/>
          </rPr>
          <t>=L3*SUMPRODUCT(C5:E19,L5:N19)</t>
        </r>
      </text>
    </comment>
    <comment ref="L24" authorId="0">
      <text>
        <r>
          <rPr>
            <b/>
            <sz val="10"/>
            <color indexed="81"/>
            <rFont val="Arial"/>
            <family val="2"/>
          </rPr>
          <t>=IF(L21&gt;75,1,0)</t>
        </r>
      </text>
    </comment>
    <comment ref="B25" authorId="0">
      <text>
        <r>
          <rPr>
            <b/>
            <sz val="10"/>
            <color indexed="81"/>
            <rFont val="Arial"/>
            <family val="2"/>
          </rPr>
          <t>=SUMPRODUCT(C3:E3,C20:E20)</t>
        </r>
      </text>
    </comment>
    <comment ref="F25" authorId="0">
      <text>
        <r>
          <rPr>
            <b/>
            <sz val="10"/>
            <color indexed="81"/>
            <rFont val="Arial"/>
            <family val="2"/>
          </rPr>
          <t>=D25+750</t>
        </r>
      </text>
    </comment>
    <comment ref="L25" authorId="0">
      <text>
        <r>
          <rPr>
            <b/>
            <sz val="10"/>
            <color indexed="81"/>
            <rFont val="Arial"/>
            <family val="2"/>
          </rPr>
          <t>=IF(L22=1,0,10*L3)</t>
        </r>
      </text>
    </comment>
    <comment ref="L26" authorId="0">
      <text>
        <r>
          <rPr>
            <b/>
            <sz val="10"/>
            <color indexed="81"/>
            <rFont val="Arial"/>
            <family val="2"/>
          </rPr>
          <t>=L21+L23</t>
        </r>
      </text>
    </comment>
    <comment ref="B32" authorId="0">
      <text>
        <r>
          <rPr>
            <b/>
            <sz val="10"/>
            <color indexed="81"/>
            <rFont val="Arial"/>
            <family val="2"/>
          </rPr>
          <t>=SUM(C17:E19)</t>
        </r>
      </text>
    </comment>
    <comment ref="F32" authorId="0">
      <text>
        <r>
          <rPr>
            <b/>
            <sz val="10"/>
            <color indexed="81"/>
            <rFont val="Arial"/>
            <family val="2"/>
          </rPr>
          <t>=SUMPRODUCT($C$3:$E$5,C19:E21)</t>
        </r>
      </text>
    </comment>
  </commentList>
</comments>
</file>

<file path=xl/comments3.xml><?xml version="1.0" encoding="utf-8"?>
<comments xmlns="http://schemas.openxmlformats.org/spreadsheetml/2006/main">
  <authors>
    <author>ajg292</author>
  </authors>
  <commentList>
    <comment ref="C7" authorId="0">
      <text>
        <r>
          <rPr>
            <b/>
            <sz val="10"/>
            <color indexed="81"/>
            <rFont val="Arial"/>
            <family val="2"/>
          </rPr>
          <t>=B7*2</t>
        </r>
      </text>
    </comment>
    <comment ref="F7" authorId="0">
      <text>
        <r>
          <rPr>
            <b/>
            <sz val="10"/>
            <color indexed="81"/>
            <rFont val="Arial"/>
            <family val="2"/>
          </rPr>
          <t>=E7*C7</t>
        </r>
      </text>
    </comment>
    <comment ref="G7" authorId="0">
      <text>
        <r>
          <rPr>
            <b/>
            <sz val="10"/>
            <color indexed="81"/>
            <rFont val="Arial"/>
            <family val="2"/>
          </rPr>
          <t>=F7*0.0338140227</t>
        </r>
      </text>
    </comment>
    <comment ref="H7" authorId="0">
      <text>
        <r>
          <rPr>
            <b/>
            <sz val="10"/>
            <color indexed="81"/>
            <rFont val="Arial"/>
            <family val="2"/>
          </rPr>
          <t>=G7/L7</t>
        </r>
      </text>
    </comment>
    <comment ref="I7" authorId="0">
      <text>
        <r>
          <rPr>
            <b/>
            <sz val="10"/>
            <color indexed="81"/>
            <rFont val="Arial"/>
            <family val="2"/>
          </rPr>
          <t>=ROUNDUP(H7,0)</t>
        </r>
      </text>
    </comment>
    <comment ref="J7" authorId="0">
      <text>
        <r>
          <rPr>
            <b/>
            <sz val="10"/>
            <color indexed="81"/>
            <rFont val="Arial"/>
            <family val="2"/>
          </rPr>
          <t>=M7*I7</t>
        </r>
      </text>
    </comment>
    <comment ref="B8" authorId="0">
      <text>
        <r>
          <rPr>
            <b/>
            <sz val="10"/>
            <color indexed="81"/>
            <rFont val="Arial"/>
            <family val="2"/>
          </rPr>
          <t>=Model!F32</t>
        </r>
      </text>
    </comment>
    <comment ref="F14" authorId="0">
      <text>
        <r>
          <rPr>
            <b/>
            <sz val="10"/>
            <color indexed="81"/>
            <rFont val="Arial"/>
            <family val="2"/>
          </rPr>
          <t>=SUMIF($D$2:$D$8,D14,$J$2:$J$7)</t>
        </r>
      </text>
    </comment>
    <comment ref="E17" authorId="0">
      <text>
        <r>
          <rPr>
            <b/>
            <sz val="10"/>
            <color indexed="81"/>
            <rFont val="Arial"/>
            <family val="2"/>
          </rPr>
          <t>=SUMIF($D$2:$D$8,D17,$I$2:$I$7)</t>
        </r>
      </text>
    </comment>
  </commentList>
</comments>
</file>

<file path=xl/sharedStrings.xml><?xml version="1.0" encoding="utf-8"?>
<sst xmlns="http://schemas.openxmlformats.org/spreadsheetml/2006/main" count="158" uniqueCount="94">
  <si>
    <t>Vodka</t>
  </si>
  <si>
    <t>Grey Goose</t>
  </si>
  <si>
    <t>Absolut</t>
  </si>
  <si>
    <t>Smirnoff</t>
  </si>
  <si>
    <t>750mL</t>
  </si>
  <si>
    <t>1L</t>
  </si>
  <si>
    <t>Whiskey</t>
  </si>
  <si>
    <t>Jack Daniels</t>
  </si>
  <si>
    <t>Gin</t>
  </si>
  <si>
    <t>Hendrick's</t>
  </si>
  <si>
    <t>Tanqueray</t>
  </si>
  <si>
    <t>1.75L</t>
  </si>
  <si>
    <t>Seagram's 7</t>
  </si>
  <si>
    <t>Seagram's</t>
  </si>
  <si>
    <t>Rum</t>
  </si>
  <si>
    <t>Bacardi</t>
  </si>
  <si>
    <t>Tequila</t>
  </si>
  <si>
    <t>Jose Cuervo</t>
  </si>
  <si>
    <t>Sauza</t>
  </si>
  <si>
    <t>&gt;=</t>
  </si>
  <si>
    <t>Utility</t>
  </si>
  <si>
    <t>Cost</t>
  </si>
  <si>
    <t>JW Black</t>
  </si>
  <si>
    <t>10 Cane</t>
  </si>
  <si>
    <t>Sherry Lehmann</t>
  </si>
  <si>
    <t>Total Utility</t>
  </si>
  <si>
    <t>Total Cost</t>
  </si>
  <si>
    <t>Purchase Quantity</t>
  </si>
  <si>
    <t>Constraints</t>
  </si>
  <si>
    <t>Total mL</t>
  </si>
  <si>
    <t>Total cost</t>
  </si>
  <si>
    <t>&gt;$75?</t>
  </si>
  <si>
    <t>Shipping Cost</t>
  </si>
  <si>
    <t>&gt;$70?</t>
  </si>
  <si>
    <t>&lt;=</t>
  </si>
  <si>
    <t>Statistics</t>
  </si>
  <si>
    <t>Trials</t>
  </si>
  <si>
    <t>Variance</t>
  </si>
  <si>
    <t>Kurtosis</t>
  </si>
  <si>
    <t>Coeff. of Variability</t>
  </si>
  <si>
    <t>Minimum</t>
  </si>
  <si>
    <t>Maximum</t>
  </si>
  <si>
    <t>Range Width</t>
  </si>
  <si>
    <t>Mean Std. Error</t>
  </si>
  <si>
    <t>Percentiles</t>
  </si>
  <si>
    <t>Conf. Level</t>
  </si>
  <si>
    <t>Spirit</t>
  </si>
  <si>
    <t>Mixers</t>
  </si>
  <si>
    <t>None</t>
  </si>
  <si>
    <t>Astor Wines</t>
  </si>
  <si>
    <t>Capt. Morgan</t>
  </si>
  <si>
    <t>Spirit mL</t>
  </si>
  <si>
    <t>Mixer mL</t>
  </si>
  <si>
    <t>Mixer Oz</t>
  </si>
  <si>
    <t># Bottles Needed</t>
  </si>
  <si>
    <t>Total</t>
  </si>
  <si>
    <t>Tonic (1L)</t>
  </si>
  <si>
    <t>Cranberry (64 oz)</t>
  </si>
  <si>
    <t>Coke (2L)</t>
  </si>
  <si>
    <t>Ginger Ale (2L)</t>
  </si>
  <si>
    <t># Bottles</t>
  </si>
  <si>
    <t>Subtotal</t>
  </si>
  <si>
    <t>Ice</t>
  </si>
  <si>
    <t>Mean</t>
  </si>
  <si>
    <t>Median</t>
  </si>
  <si>
    <t>Mode</t>
  </si>
  <si>
    <t>Standard Deviation</t>
  </si>
  <si>
    <t>Skewness</t>
  </si>
  <si>
    <t>---</t>
  </si>
  <si>
    <t>Total mL/spirit</t>
  </si>
  <si>
    <t>Bottles/spirit</t>
  </si>
  <si>
    <t>Split</t>
  </si>
  <si>
    <t>Retail Price</t>
  </si>
  <si>
    <t>Oz/Bottle</t>
  </si>
  <si>
    <t>Mixers mL*</t>
  </si>
  <si>
    <t>*2 parts mixer to 1 part spirit</t>
  </si>
  <si>
    <t>mL to Purchase</t>
  </si>
  <si>
    <t>Weather</t>
  </si>
  <si>
    <t>Chance of Snow</t>
  </si>
  <si>
    <t>Randomness</t>
  </si>
  <si>
    <t>Snow?</t>
  </si>
  <si>
    <t>Number of Guests</t>
  </si>
  <si>
    <t>Max</t>
  </si>
  <si>
    <t>Expected</t>
  </si>
  <si>
    <t>Replied Yes</t>
  </si>
  <si>
    <t>Replied Maybe</t>
  </si>
  <si>
    <t>Total Attendance</t>
  </si>
  <si>
    <t>Amount Consumed</t>
  </si>
  <si>
    <t>Ounces/Drink</t>
  </si>
  <si>
    <t>Estimated Drinks/Person</t>
  </si>
  <si>
    <t>To Purchase</t>
  </si>
  <si>
    <t>Ounces</t>
  </si>
  <si>
    <t>Liters</t>
  </si>
  <si>
    <t>Milliliters</t>
  </si>
</sst>
</file>

<file path=xl/styles.xml><?xml version="1.0" encoding="utf-8"?>
<styleSheet xmlns="http://schemas.openxmlformats.org/spreadsheetml/2006/main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 #,##0.00\ ;\ \(#,##0.00\)"/>
    <numFmt numFmtId="165" formatCode="0.0000"/>
    <numFmt numFmtId="166" formatCode="&quot;$&quot;#,##0.000_);[Red]\(&quot;$&quot;#,##0.000\)"/>
    <numFmt numFmtId="167" formatCode="_(* #,##0_);_(* \(#,##0\);_(* &quot;-&quot;??_);_(@_)"/>
    <numFmt numFmtId="168" formatCode="_(* #,##0.0_);_(* \(#,##0.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1"/>
      <name val="Arial"/>
      <family val="2"/>
    </font>
    <font>
      <sz val="10"/>
      <name val="Arial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</fills>
  <borders count="13">
    <border>
      <left/>
      <right/>
      <top/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/>
      <top/>
      <bottom/>
      <diagonal/>
    </border>
    <border>
      <left/>
      <right style="thick">
        <color rgb="FF0000FF"/>
      </right>
      <top/>
      <bottom/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ck">
        <color rgb="FF0000FF"/>
      </right>
      <top/>
      <bottom style="thick">
        <color rgb="FF0000FF"/>
      </bottom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3" fontId="0" fillId="0" borderId="0" xfId="1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8" fontId="0" fillId="0" borderId="0" xfId="0" applyNumberFormat="1"/>
    <xf numFmtId="0" fontId="0" fillId="0" borderId="1" xfId="0" applyBorder="1"/>
    <xf numFmtId="3" fontId="0" fillId="0" borderId="0" xfId="0" applyNumberFormat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11" xfId="0" applyBorder="1"/>
    <xf numFmtId="8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6" fontId="0" fillId="0" borderId="0" xfId="0" applyNumberFormat="1"/>
    <xf numFmtId="6" fontId="0" fillId="2" borderId="0" xfId="0" applyNumberFormat="1" applyFill="1"/>
    <xf numFmtId="0" fontId="4" fillId="0" borderId="10" xfId="2" applyFont="1" applyBorder="1" applyAlignment="1">
      <alignment horizontal="center"/>
    </xf>
    <xf numFmtId="0" fontId="3" fillId="0" borderId="0" xfId="2"/>
    <xf numFmtId="9" fontId="3" fillId="0" borderId="0" xfId="2" applyNumberFormat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/>
    <xf numFmtId="167" fontId="0" fillId="0" borderId="0" xfId="1" applyNumberFormat="1" applyFont="1"/>
    <xf numFmtId="3" fontId="0" fillId="0" borderId="0" xfId="0" applyNumberFormat="1"/>
    <xf numFmtId="167" fontId="0" fillId="0" borderId="0" xfId="0" applyNumberFormat="1"/>
    <xf numFmtId="43" fontId="0" fillId="0" borderId="0" xfId="0" applyNumberFormat="1"/>
    <xf numFmtId="168" fontId="0" fillId="0" borderId="0" xfId="0" applyNumberFormat="1"/>
    <xf numFmtId="44" fontId="0" fillId="0" borderId="0" xfId="3" applyFont="1"/>
    <xf numFmtId="44" fontId="0" fillId="0" borderId="0" xfId="0" applyNumberFormat="1"/>
    <xf numFmtId="9" fontId="0" fillId="0" borderId="0" xfId="4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12" xfId="0" applyBorder="1"/>
    <xf numFmtId="8" fontId="0" fillId="0" borderId="12" xfId="0" applyNumberFormat="1" applyBorder="1"/>
    <xf numFmtId="0" fontId="4" fillId="0" borderId="10" xfId="5" applyFont="1" applyBorder="1" applyAlignment="1">
      <alignment horizontal="center"/>
    </xf>
    <xf numFmtId="0" fontId="6" fillId="0" borderId="0" xfId="5" applyAlignment="1">
      <alignment horizontal="left"/>
    </xf>
    <xf numFmtId="0" fontId="6" fillId="0" borderId="0" xfId="5" applyAlignment="1">
      <alignment horizontal="right"/>
    </xf>
    <xf numFmtId="164" fontId="6" fillId="0" borderId="0" xfId="5" applyNumberFormat="1" applyAlignment="1">
      <alignment horizontal="right"/>
    </xf>
    <xf numFmtId="165" fontId="6" fillId="0" borderId="0" xfId="5" applyNumberFormat="1" applyAlignment="1">
      <alignment horizontal="right"/>
    </xf>
    <xf numFmtId="4" fontId="6" fillId="0" borderId="0" xfId="5" applyNumberFormat="1" applyAlignment="1">
      <alignment horizontal="right"/>
    </xf>
    <xf numFmtId="8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0" fillId="3" borderId="0" xfId="0" applyFill="1"/>
    <xf numFmtId="44" fontId="0" fillId="3" borderId="0" xfId="3" applyFont="1" applyFill="1"/>
    <xf numFmtId="0" fontId="2" fillId="0" borderId="0" xfId="0" applyFont="1" applyAlignment="1">
      <alignment horizontal="center" vertical="center"/>
    </xf>
    <xf numFmtId="3" fontId="3" fillId="0" borderId="0" xfId="2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9" fontId="0" fillId="0" borderId="0" xfId="0" applyNumberFormat="1" applyFill="1" applyBorder="1"/>
    <xf numFmtId="9" fontId="0" fillId="4" borderId="0" xfId="0" applyNumberFormat="1" applyFill="1"/>
    <xf numFmtId="0" fontId="7" fillId="0" borderId="0" xfId="0" applyFont="1"/>
    <xf numFmtId="0" fontId="0" fillId="0" borderId="0" xfId="0" applyFill="1" applyBorder="1"/>
    <xf numFmtId="0" fontId="0" fillId="4" borderId="0" xfId="0" applyFill="1"/>
    <xf numFmtId="0" fontId="0" fillId="0" borderId="0" xfId="0" applyFill="1"/>
    <xf numFmtId="2" fontId="0" fillId="0" borderId="0" xfId="0" applyNumberFormat="1"/>
    <xf numFmtId="43" fontId="0" fillId="5" borderId="0" xfId="1" applyFont="1" applyFill="1"/>
  </cellXfs>
  <cellStyles count="6">
    <cellStyle name="Comma" xfId="1" builtinId="3"/>
    <cellStyle name="Currency" xfId="3" builtinId="4"/>
    <cellStyle name="Normal" xfId="0" builtinId="0"/>
    <cellStyle name="Normal_Simulation Output" xfId="2"/>
    <cellStyle name="Normal_Simulation Output_1" xfId="5"/>
    <cellStyle name="Percent" xfId="4" builtinId="5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336737907761531"/>
          <c:y val="0.11621536891221962"/>
          <c:w val="0.79599770028746408"/>
          <c:h val="0.65303988043161365"/>
        </c:manualLayout>
      </c:layout>
      <c:barChart>
        <c:barDir val="col"/>
        <c:grouping val="clustered"/>
        <c:ser>
          <c:idx val="0"/>
          <c:order val="0"/>
          <c:cat>
            <c:numRef>
              <c:f>'Simulation Output'!$A$18:$A$38</c:f>
              <c:numCache>
                <c:formatCode>0%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'Simulation Output'!$B$18:$B$38</c:f>
              <c:numCache>
                <c:formatCode>#,##0</c:formatCode>
                <c:ptCount val="21"/>
                <c:pt idx="0">
                  <c:v>1927.4542613912163</c:v>
                </c:pt>
                <c:pt idx="1">
                  <c:v>3687.1066903121164</c:v>
                </c:pt>
                <c:pt idx="2">
                  <c:v>4084.5761145511397</c:v>
                </c:pt>
                <c:pt idx="3">
                  <c:v>4392.395607760951</c:v>
                </c:pt>
                <c:pt idx="4">
                  <c:v>4666.5232853812158</c:v>
                </c:pt>
                <c:pt idx="5">
                  <c:v>4902.9601112592109</c:v>
                </c:pt>
                <c:pt idx="6">
                  <c:v>5105.7537237379138</c:v>
                </c:pt>
                <c:pt idx="7">
                  <c:v>5322.1490645099839</c:v>
                </c:pt>
                <c:pt idx="8">
                  <c:v>5504.2382045084187</c:v>
                </c:pt>
                <c:pt idx="9">
                  <c:v>5709.3729801471081</c:v>
                </c:pt>
                <c:pt idx="10">
                  <c:v>5919.940355886265</c:v>
                </c:pt>
                <c:pt idx="11">
                  <c:v>6136.2619931094696</c:v>
                </c:pt>
                <c:pt idx="12">
                  <c:v>6362.7123416770455</c:v>
                </c:pt>
                <c:pt idx="13">
                  <c:v>6615.5423068607297</c:v>
                </c:pt>
                <c:pt idx="14">
                  <c:v>6889.8892575453765</c:v>
                </c:pt>
                <c:pt idx="15">
                  <c:v>7191.5313381660226</c:v>
                </c:pt>
                <c:pt idx="16">
                  <c:v>7546.3232610914047</c:v>
                </c:pt>
                <c:pt idx="17">
                  <c:v>7982.0939267587837</c:v>
                </c:pt>
                <c:pt idx="18">
                  <c:v>8542.415986305472</c:v>
                </c:pt>
                <c:pt idx="19">
                  <c:v>9403.4238591576723</c:v>
                </c:pt>
                <c:pt idx="20">
                  <c:v>14332.046919358723</c:v>
                </c:pt>
              </c:numCache>
            </c:numRef>
          </c:val>
        </c:ser>
        <c:axId val="101296000"/>
        <c:axId val="101323136"/>
      </c:barChart>
      <c:catAx>
        <c:axId val="101296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Confidence</a:t>
                </a:r>
              </a:p>
            </c:rich>
          </c:tx>
          <c:layout/>
        </c:title>
        <c:numFmt formatCode="0%" sourceLinked="0"/>
        <c:tickLblPos val="nextTo"/>
        <c:crossAx val="101323136"/>
        <c:crosses val="autoZero"/>
        <c:auto val="1"/>
        <c:lblAlgn val="ctr"/>
        <c:lblOffset val="100"/>
      </c:catAx>
      <c:valAx>
        <c:axId val="1013231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mL to Purchase</a:t>
                </a:r>
              </a:p>
            </c:rich>
          </c:tx>
          <c:layout/>
        </c:title>
        <c:numFmt formatCode="#,##0" sourceLinked="0"/>
        <c:tickLblPos val="nextTo"/>
        <c:crossAx val="101296000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247462817147856"/>
          <c:y val="0.13936351706036745"/>
          <c:w val="0.78067125984251973"/>
          <c:h val="0.70005358705161858"/>
        </c:manualLayout>
      </c:layout>
      <c:scatterChart>
        <c:scatterStyle val="lineMarker"/>
        <c:ser>
          <c:idx val="0"/>
          <c:order val="0"/>
          <c:tx>
            <c:strRef>
              <c:f>Frontier!$B$1</c:f>
              <c:strCache>
                <c:ptCount val="1"/>
                <c:pt idx="0">
                  <c:v>Utility</c:v>
                </c:pt>
              </c:strCache>
            </c:strRef>
          </c:tx>
          <c:spPr>
            <a:ln w="28575">
              <a:noFill/>
            </a:ln>
          </c:spPr>
          <c:dLbls>
            <c:numFmt formatCode="#,##0" sourceLinked="0"/>
            <c:showVal val="1"/>
            <c:showCatName val="1"/>
          </c:dLbls>
          <c:xVal>
            <c:numRef>
              <c:f>Frontier!$A$2:$A$9</c:f>
              <c:numCache>
                <c:formatCode>"$"#,##0.00_);[Red]\("$"#,##0.00\)</c:formatCode>
                <c:ptCount val="8"/>
                <c:pt idx="0">
                  <c:v>179.91</c:v>
                </c:pt>
                <c:pt idx="1">
                  <c:v>195.91</c:v>
                </c:pt>
                <c:pt idx="2">
                  <c:v>218.90000000000003</c:v>
                </c:pt>
                <c:pt idx="3">
                  <c:v>248.9</c:v>
                </c:pt>
                <c:pt idx="4">
                  <c:v>299.89</c:v>
                </c:pt>
                <c:pt idx="5">
                  <c:v>348.89</c:v>
                </c:pt>
                <c:pt idx="6">
                  <c:v>391.88</c:v>
                </c:pt>
              </c:numCache>
            </c:numRef>
          </c:xVal>
          <c:yVal>
            <c:numRef>
              <c:f>Frontier!$B$2:$B$9</c:f>
              <c:numCache>
                <c:formatCode>General</c:formatCode>
                <c:ptCount val="8"/>
                <c:pt idx="0">
                  <c:v>62</c:v>
                </c:pt>
                <c:pt idx="1">
                  <c:v>65</c:v>
                </c:pt>
                <c:pt idx="2">
                  <c:v>73</c:v>
                </c:pt>
                <c:pt idx="3">
                  <c:v>79</c:v>
                </c:pt>
                <c:pt idx="4">
                  <c:v>89</c:v>
                </c:pt>
                <c:pt idx="5">
                  <c:v>95</c:v>
                </c:pt>
                <c:pt idx="6">
                  <c:v>105</c:v>
                </c:pt>
              </c:numCache>
            </c:numRef>
          </c:yVal>
        </c:ser>
        <c:axId val="101375360"/>
        <c:axId val="102028800"/>
      </c:scatterChart>
      <c:valAx>
        <c:axId val="101375360"/>
        <c:scaling>
          <c:orientation val="minMax"/>
          <c:min val="1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/>
        </c:title>
        <c:numFmt formatCode="&quot;$&quot;#,##0_);[Red]\(&quot;$&quot;#,##0\)" sourceLinked="0"/>
        <c:tickLblPos val="nextTo"/>
        <c:crossAx val="102028800"/>
        <c:crosses val="autoZero"/>
        <c:crossBetween val="midCat"/>
      </c:valAx>
      <c:valAx>
        <c:axId val="102028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Utility</a:t>
                </a:r>
              </a:p>
            </c:rich>
          </c:tx>
          <c:layout/>
        </c:title>
        <c:numFmt formatCode="General" sourceLinked="1"/>
        <c:tickLblPos val="nextTo"/>
        <c:crossAx val="101375360"/>
        <c:crosses val="autoZero"/>
        <c:crossBetween val="midCat"/>
        <c:majorUnit val="20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17</xdr:row>
      <xdr:rowOff>171450</xdr:rowOff>
    </xdr:from>
    <xdr:to>
      <xdr:col>12</xdr:col>
      <xdr:colOff>123824</xdr:colOff>
      <xdr:row>32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457199</xdr:colOff>
      <xdr:row>0</xdr:row>
      <xdr:rowOff>142875</xdr:rowOff>
    </xdr:from>
    <xdr:to>
      <xdr:col>12</xdr:col>
      <xdr:colOff>28574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/>
  </sheetViews>
  <sheetFormatPr defaultRowHeight="15"/>
  <cols>
    <col min="1" max="1" width="23.28515625" bestFit="1" customWidth="1"/>
    <col min="2" max="2" width="9.5703125" bestFit="1" customWidth="1"/>
    <col min="4" max="4" width="11" bestFit="1" customWidth="1"/>
  </cols>
  <sheetData>
    <row r="1" spans="1:9">
      <c r="A1" s="4" t="s">
        <v>77</v>
      </c>
    </row>
    <row r="2" spans="1:9">
      <c r="A2" t="s">
        <v>78</v>
      </c>
      <c r="B2" s="57">
        <v>0.3</v>
      </c>
    </row>
    <row r="3" spans="1:9">
      <c r="A3" t="s">
        <v>79</v>
      </c>
      <c r="B3" s="58">
        <f ca="1">RAND()</f>
        <v>0.47758892866397673</v>
      </c>
      <c r="C3" s="59"/>
    </row>
    <row r="4" spans="1:9">
      <c r="A4" t="s">
        <v>80</v>
      </c>
      <c r="B4">
        <f ca="1">IF(B3&gt;$B$2,0,1)</f>
        <v>0</v>
      </c>
    </row>
    <row r="6" spans="1:9">
      <c r="A6" s="4" t="s">
        <v>81</v>
      </c>
    </row>
    <row r="7" spans="1:9">
      <c r="B7" s="54" t="s">
        <v>82</v>
      </c>
      <c r="C7" s="54" t="s">
        <v>83</v>
      </c>
    </row>
    <row r="8" spans="1:9">
      <c r="A8" t="s">
        <v>84</v>
      </c>
      <c r="B8" s="60">
        <v>30</v>
      </c>
      <c r="C8">
        <f ca="1">IF($B$4=1,B8*0.75,B8)</f>
        <v>30</v>
      </c>
      <c r="G8" s="36"/>
      <c r="H8" s="36"/>
      <c r="I8" s="36"/>
    </row>
    <row r="9" spans="1:9">
      <c r="A9" t="s">
        <v>85</v>
      </c>
      <c r="B9" s="60">
        <v>10</v>
      </c>
      <c r="C9">
        <f ca="1">IF($B$4=1,B9*0.5,B9*0.75)</f>
        <v>7.5</v>
      </c>
    </row>
    <row r="10" spans="1:9">
      <c r="A10" t="s">
        <v>86</v>
      </c>
      <c r="B10">
        <f>SUM(B8:B9)</f>
        <v>40</v>
      </c>
      <c r="C10">
        <f ca="1">SUM(C8:C9)</f>
        <v>37.5</v>
      </c>
    </row>
    <row r="12" spans="1:9">
      <c r="A12" s="4" t="s">
        <v>87</v>
      </c>
    </row>
    <row r="13" spans="1:9">
      <c r="A13" t="s">
        <v>88</v>
      </c>
      <c r="B13">
        <v>1.5</v>
      </c>
    </row>
    <row r="14" spans="1:9">
      <c r="A14" t="s">
        <v>89</v>
      </c>
      <c r="B14" s="61">
        <v>4</v>
      </c>
      <c r="C14" s="59"/>
    </row>
    <row r="16" spans="1:9">
      <c r="A16" s="4" t="s">
        <v>90</v>
      </c>
    </row>
    <row r="17" spans="1:2">
      <c r="A17" t="s">
        <v>91</v>
      </c>
      <c r="B17" s="62">
        <f ca="1">B14*B13*C10</f>
        <v>225</v>
      </c>
    </row>
    <row r="18" spans="1:2">
      <c r="A18" t="s">
        <v>92</v>
      </c>
      <c r="B18" s="63">
        <f ca="1">0.0295735296*B17</f>
        <v>6.6540441599999998</v>
      </c>
    </row>
    <row r="19" spans="1:2">
      <c r="A19" t="s">
        <v>93</v>
      </c>
      <c r="B19" s="64">
        <f ca="1">B18*1000</f>
        <v>6654.0441599999995</v>
      </c>
    </row>
  </sheetData>
  <printOptions headings="1" gridLines="1"/>
  <pageMargins left="0.7" right="0.7" top="0.75" bottom="0.75" header="0.3" footer="0.3"/>
  <pageSetup orientation="portrait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8"/>
  <sheetViews>
    <sheetView workbookViewId="0"/>
  </sheetViews>
  <sheetFormatPr defaultRowHeight="15"/>
  <cols>
    <col min="1" max="1" width="16.5703125" bestFit="1" customWidth="1"/>
    <col min="2" max="2" width="15.28515625" bestFit="1" customWidth="1"/>
    <col min="3" max="3" width="10.28515625" bestFit="1" customWidth="1"/>
  </cols>
  <sheetData>
    <row r="1" spans="1:2">
      <c r="A1" s="42" t="s">
        <v>35</v>
      </c>
      <c r="B1" s="42"/>
    </row>
    <row r="2" spans="1:2">
      <c r="A2" s="43" t="s">
        <v>36</v>
      </c>
      <c r="B2" s="44">
        <v>10000</v>
      </c>
    </row>
    <row r="3" spans="1:2">
      <c r="A3" s="43" t="s">
        <v>63</v>
      </c>
      <c r="B3" s="45">
        <v>6153.2846087814351</v>
      </c>
    </row>
    <row r="4" spans="1:2">
      <c r="A4" s="43" t="s">
        <v>64</v>
      </c>
      <c r="B4" s="45">
        <v>5919.9698355360197</v>
      </c>
    </row>
    <row r="5" spans="1:2">
      <c r="A5" s="43" t="s">
        <v>65</v>
      </c>
      <c r="B5" s="45" t="s">
        <v>68</v>
      </c>
    </row>
    <row r="6" spans="1:2">
      <c r="A6" s="43" t="s">
        <v>66</v>
      </c>
      <c r="B6" s="45">
        <v>1750.9133146051856</v>
      </c>
    </row>
    <row r="7" spans="1:2">
      <c r="A7" s="43" t="s">
        <v>37</v>
      </c>
      <c r="B7" s="45">
        <v>3065697.4352617175</v>
      </c>
    </row>
    <row r="8" spans="1:2">
      <c r="A8" s="43" t="s">
        <v>67</v>
      </c>
      <c r="B8" s="46">
        <v>0.7021200295661677</v>
      </c>
    </row>
    <row r="9" spans="1:2">
      <c r="A9" s="43" t="s">
        <v>38</v>
      </c>
      <c r="B9" s="47">
        <v>3.6236431718952868</v>
      </c>
    </row>
    <row r="10" spans="1:2">
      <c r="A10" s="43" t="s">
        <v>39</v>
      </c>
      <c r="B10" s="46">
        <v>0.28454937905950811</v>
      </c>
    </row>
    <row r="11" spans="1:2">
      <c r="A11" s="43" t="s">
        <v>40</v>
      </c>
      <c r="B11" s="45">
        <v>1927.4542613912165</v>
      </c>
    </row>
    <row r="12" spans="1:2">
      <c r="A12" s="43" t="s">
        <v>41</v>
      </c>
      <c r="B12" s="45">
        <v>14332.046919358725</v>
      </c>
    </row>
    <row r="13" spans="1:2">
      <c r="A13" s="43" t="s">
        <v>42</v>
      </c>
      <c r="B13" s="45">
        <v>12404.592657967509</v>
      </c>
    </row>
    <row r="14" spans="1:2">
      <c r="A14" s="43" t="s">
        <v>43</v>
      </c>
      <c r="B14" s="45">
        <v>17.509133146051855</v>
      </c>
    </row>
    <row r="15" spans="1:2">
      <c r="A15" s="25"/>
      <c r="B15" s="25"/>
    </row>
    <row r="16" spans="1:2">
      <c r="A16" s="25"/>
      <c r="B16" s="25"/>
    </row>
    <row r="17" spans="1:2">
      <c r="A17" s="24" t="s">
        <v>44</v>
      </c>
      <c r="B17" s="24" t="s">
        <v>76</v>
      </c>
    </row>
    <row r="18" spans="1:2">
      <c r="A18" s="26">
        <v>0</v>
      </c>
      <c r="B18" s="53">
        <v>1927.4542613912163</v>
      </c>
    </row>
    <row r="19" spans="1:2">
      <c r="A19" s="26">
        <v>0.05</v>
      </c>
      <c r="B19" s="53">
        <v>3687.1066903121164</v>
      </c>
    </row>
    <row r="20" spans="1:2">
      <c r="A20" s="26">
        <v>0.1</v>
      </c>
      <c r="B20" s="53">
        <v>4084.5761145511397</v>
      </c>
    </row>
    <row r="21" spans="1:2">
      <c r="A21" s="26">
        <v>0.15</v>
      </c>
      <c r="B21" s="53">
        <v>4392.395607760951</v>
      </c>
    </row>
    <row r="22" spans="1:2">
      <c r="A22" s="26">
        <v>0.2</v>
      </c>
      <c r="B22" s="53">
        <v>4666.5232853812158</v>
      </c>
    </row>
    <row r="23" spans="1:2">
      <c r="A23" s="26">
        <v>0.25</v>
      </c>
      <c r="B23" s="53">
        <v>4902.9601112592109</v>
      </c>
    </row>
    <row r="24" spans="1:2">
      <c r="A24" s="26">
        <v>0.3</v>
      </c>
      <c r="B24" s="53">
        <v>5105.7537237379138</v>
      </c>
    </row>
    <row r="25" spans="1:2">
      <c r="A25" s="26">
        <v>0.35</v>
      </c>
      <c r="B25" s="53">
        <v>5322.1490645099839</v>
      </c>
    </row>
    <row r="26" spans="1:2">
      <c r="A26" s="26">
        <v>0.4</v>
      </c>
      <c r="B26" s="53">
        <v>5504.2382045084187</v>
      </c>
    </row>
    <row r="27" spans="1:2">
      <c r="A27" s="26">
        <v>0.45</v>
      </c>
      <c r="B27" s="53">
        <v>5709.3729801471081</v>
      </c>
    </row>
    <row r="28" spans="1:2">
      <c r="A28" s="26">
        <v>0.5</v>
      </c>
      <c r="B28" s="53">
        <v>5919.940355886265</v>
      </c>
    </row>
    <row r="29" spans="1:2">
      <c r="A29" s="26">
        <v>0.55000000000000004</v>
      </c>
      <c r="B29" s="53">
        <v>6136.2619931094696</v>
      </c>
    </row>
    <row r="30" spans="1:2">
      <c r="A30" s="26">
        <v>0.6</v>
      </c>
      <c r="B30" s="53">
        <v>6362.7123416770455</v>
      </c>
    </row>
    <row r="31" spans="1:2">
      <c r="A31" s="26">
        <v>0.65</v>
      </c>
      <c r="B31" s="53">
        <v>6615.5423068607297</v>
      </c>
    </row>
    <row r="32" spans="1:2">
      <c r="A32" s="26">
        <v>0.7</v>
      </c>
      <c r="B32" s="53">
        <v>6889.8892575453765</v>
      </c>
    </row>
    <row r="33" spans="1:2">
      <c r="A33" s="26">
        <v>0.75</v>
      </c>
      <c r="B33" s="53">
        <v>7191.5313381660226</v>
      </c>
    </row>
    <row r="34" spans="1:2">
      <c r="A34" s="26">
        <v>0.8</v>
      </c>
      <c r="B34" s="53">
        <v>7546.3232610914047</v>
      </c>
    </row>
    <row r="35" spans="1:2">
      <c r="A35" s="26">
        <v>0.85</v>
      </c>
      <c r="B35" s="53">
        <v>7982.0939267587837</v>
      </c>
    </row>
    <row r="36" spans="1:2">
      <c r="A36" s="26">
        <v>0.9</v>
      </c>
      <c r="B36" s="53">
        <v>8542.415986305472</v>
      </c>
    </row>
    <row r="37" spans="1:2">
      <c r="A37" s="26">
        <v>0.95</v>
      </c>
      <c r="B37" s="53">
        <v>9403.4238591576723</v>
      </c>
    </row>
    <row r="38" spans="1:2">
      <c r="A38" s="26">
        <v>1</v>
      </c>
      <c r="B38" s="53">
        <v>14332.046919358723</v>
      </c>
    </row>
  </sheetData>
  <printOptions gridLines="1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U33"/>
  <sheetViews>
    <sheetView workbookViewId="0"/>
  </sheetViews>
  <sheetFormatPr defaultRowHeight="15"/>
  <cols>
    <col min="1" max="1" width="11.28515625" bestFit="1" customWidth="1"/>
    <col min="2" max="2" width="12.7109375" bestFit="1" customWidth="1"/>
    <col min="3" max="3" width="6.5703125" bestFit="1" customWidth="1"/>
    <col min="4" max="5" width="6.5703125" customWidth="1"/>
    <col min="6" max="6" width="7" bestFit="1" customWidth="1"/>
    <col min="7" max="7" width="6.5703125" bestFit="1" customWidth="1"/>
    <col min="8" max="9" width="6.5703125" customWidth="1"/>
    <col min="10" max="10" width="4.5703125" customWidth="1"/>
    <col min="11" max="11" width="15.42578125" bestFit="1" customWidth="1"/>
    <col min="12" max="14" width="8.5703125" customWidth="1"/>
    <col min="15" max="15" width="4.5703125" customWidth="1"/>
    <col min="16" max="16" width="13.140625" bestFit="1" customWidth="1"/>
    <col min="17" max="19" width="8.5703125" customWidth="1"/>
  </cols>
  <sheetData>
    <row r="1" spans="1:21" ht="16.5" thickTop="1" thickBot="1">
      <c r="A1" t="s">
        <v>25</v>
      </c>
      <c r="B1" s="19">
        <f>SUMPRODUCT(C7:E21,G7:I21)</f>
        <v>89</v>
      </c>
    </row>
    <row r="2" spans="1:21" ht="15.75" thickTop="1"/>
    <row r="3" spans="1:21">
      <c r="C3" s="17">
        <v>750</v>
      </c>
      <c r="D3" s="17">
        <v>1000</v>
      </c>
      <c r="E3" s="17">
        <v>1750</v>
      </c>
    </row>
    <row r="4" spans="1:21" ht="15.75" thickBot="1">
      <c r="C4" s="17">
        <v>750</v>
      </c>
      <c r="D4" s="17">
        <v>1000</v>
      </c>
      <c r="E4" s="17">
        <v>1750</v>
      </c>
    </row>
    <row r="5" spans="1:21" ht="16.5" thickTop="1" thickBot="1">
      <c r="A5" s="4" t="s">
        <v>27</v>
      </c>
      <c r="C5" s="17">
        <v>750</v>
      </c>
      <c r="D5" s="17">
        <v>1000</v>
      </c>
      <c r="E5" s="17">
        <v>1750</v>
      </c>
      <c r="G5" s="4" t="s">
        <v>20</v>
      </c>
      <c r="H5" s="4"/>
      <c r="I5" s="4"/>
      <c r="K5" s="4" t="s">
        <v>24</v>
      </c>
      <c r="L5" s="16">
        <v>0</v>
      </c>
      <c r="P5" s="4" t="s">
        <v>49</v>
      </c>
      <c r="Q5" s="16">
        <v>1</v>
      </c>
    </row>
    <row r="6" spans="1:21" ht="16.5" thickTop="1" thickBot="1">
      <c r="B6" s="1"/>
      <c r="C6" s="5" t="s">
        <v>4</v>
      </c>
      <c r="D6" s="5" t="s">
        <v>5</v>
      </c>
      <c r="E6" s="5" t="s">
        <v>11</v>
      </c>
      <c r="L6" s="5" t="s">
        <v>4</v>
      </c>
      <c r="M6" s="5" t="s">
        <v>5</v>
      </c>
      <c r="N6" s="5" t="s">
        <v>11</v>
      </c>
      <c r="Q6" s="5" t="s">
        <v>4</v>
      </c>
      <c r="R6" s="5" t="s">
        <v>5</v>
      </c>
      <c r="S6" s="5" t="s">
        <v>11</v>
      </c>
    </row>
    <row r="7" spans="1:21" ht="15.75" thickTop="1">
      <c r="A7" s="55" t="s">
        <v>0</v>
      </c>
      <c r="B7" s="1" t="s">
        <v>1</v>
      </c>
      <c r="C7" s="6">
        <v>0</v>
      </c>
      <c r="D7" s="7">
        <v>0</v>
      </c>
      <c r="E7" s="8">
        <v>0</v>
      </c>
      <c r="G7" s="17">
        <v>10</v>
      </c>
      <c r="H7" s="17">
        <v>10</v>
      </c>
      <c r="I7" s="17">
        <v>10</v>
      </c>
      <c r="K7" s="1" t="s">
        <v>1</v>
      </c>
      <c r="L7" s="15">
        <v>33.950000000000003</v>
      </c>
      <c r="M7" s="15">
        <v>39.950000000000003</v>
      </c>
      <c r="N7" s="23">
        <v>1000</v>
      </c>
      <c r="P7" s="1" t="s">
        <v>1</v>
      </c>
      <c r="Q7" s="23">
        <v>1000</v>
      </c>
      <c r="R7" s="15">
        <v>36.99</v>
      </c>
      <c r="S7" s="15">
        <v>54.99</v>
      </c>
    </row>
    <row r="8" spans="1:21">
      <c r="A8" s="55"/>
      <c r="B8" s="1" t="s">
        <v>2</v>
      </c>
      <c r="C8" s="9">
        <v>0</v>
      </c>
      <c r="D8" s="10">
        <v>2</v>
      </c>
      <c r="E8" s="11">
        <v>0</v>
      </c>
      <c r="G8" s="17">
        <v>8</v>
      </c>
      <c r="H8" s="17">
        <v>8</v>
      </c>
      <c r="I8" s="17">
        <v>8</v>
      </c>
      <c r="K8" s="1" t="s">
        <v>2</v>
      </c>
      <c r="L8" s="15">
        <v>21.95</v>
      </c>
      <c r="M8" s="15">
        <v>24.95</v>
      </c>
      <c r="N8" s="15">
        <v>39.950000000000003</v>
      </c>
      <c r="P8" s="1" t="s">
        <v>2</v>
      </c>
      <c r="Q8" s="23">
        <v>1000</v>
      </c>
      <c r="R8" s="15">
        <v>21.99</v>
      </c>
      <c r="S8" s="15">
        <v>39.99</v>
      </c>
      <c r="T8" s="28"/>
      <c r="U8" s="28"/>
    </row>
    <row r="9" spans="1:21">
      <c r="A9" s="55"/>
      <c r="B9" s="1" t="s">
        <v>3</v>
      </c>
      <c r="C9" s="9">
        <v>0</v>
      </c>
      <c r="D9" s="10">
        <v>2</v>
      </c>
      <c r="E9" s="11">
        <v>0</v>
      </c>
      <c r="F9" s="10"/>
      <c r="G9" s="18">
        <v>7</v>
      </c>
      <c r="H9" s="18">
        <v>7</v>
      </c>
      <c r="I9" s="18">
        <v>7</v>
      </c>
      <c r="K9" s="1" t="s">
        <v>3</v>
      </c>
      <c r="L9" s="15">
        <v>15.95</v>
      </c>
      <c r="M9" s="15">
        <v>18.95</v>
      </c>
      <c r="N9" s="15">
        <v>28.95</v>
      </c>
      <c r="P9" s="1" t="s">
        <v>3</v>
      </c>
      <c r="Q9" s="23">
        <v>1000</v>
      </c>
      <c r="R9" s="15">
        <v>16.989999999999998</v>
      </c>
      <c r="S9" s="23">
        <v>1000</v>
      </c>
    </row>
    <row r="10" spans="1:21">
      <c r="A10" s="55" t="s">
        <v>8</v>
      </c>
      <c r="B10" s="1" t="s">
        <v>9</v>
      </c>
      <c r="C10" s="9">
        <v>1</v>
      </c>
      <c r="D10" s="10">
        <v>0</v>
      </c>
      <c r="E10" s="11">
        <v>0</v>
      </c>
      <c r="F10" s="10"/>
      <c r="G10" s="17">
        <v>8</v>
      </c>
      <c r="H10" s="17">
        <v>8</v>
      </c>
      <c r="I10" s="17">
        <v>8</v>
      </c>
      <c r="K10" s="1" t="s">
        <v>9</v>
      </c>
      <c r="L10" s="15">
        <v>32.950000000000003</v>
      </c>
      <c r="M10" s="23">
        <v>1000</v>
      </c>
      <c r="N10" s="23">
        <v>1000</v>
      </c>
      <c r="P10" s="1" t="s">
        <v>9</v>
      </c>
      <c r="Q10" s="15">
        <v>29.99</v>
      </c>
      <c r="R10" s="15">
        <v>41.99</v>
      </c>
      <c r="S10" s="23">
        <v>1000</v>
      </c>
    </row>
    <row r="11" spans="1:21">
      <c r="A11" s="55"/>
      <c r="B11" s="1" t="s">
        <v>10</v>
      </c>
      <c r="C11" s="9">
        <v>0</v>
      </c>
      <c r="D11" s="10">
        <v>0</v>
      </c>
      <c r="E11" s="11">
        <v>0</v>
      </c>
      <c r="F11" s="10"/>
      <c r="G11" s="17">
        <v>7</v>
      </c>
      <c r="H11" s="17">
        <v>7</v>
      </c>
      <c r="I11" s="17">
        <v>7</v>
      </c>
      <c r="K11" s="1" t="s">
        <v>10</v>
      </c>
      <c r="L11" s="15">
        <v>23.95</v>
      </c>
      <c r="M11" s="15">
        <v>29.95</v>
      </c>
      <c r="N11" s="15">
        <v>43.95</v>
      </c>
      <c r="P11" s="1" t="s">
        <v>10</v>
      </c>
      <c r="Q11" s="23">
        <v>1000</v>
      </c>
      <c r="R11" s="15">
        <v>28.99</v>
      </c>
      <c r="S11" s="15">
        <v>39.99</v>
      </c>
    </row>
    <row r="12" spans="1:21">
      <c r="A12" s="55"/>
      <c r="B12" s="1" t="s">
        <v>13</v>
      </c>
      <c r="C12" s="9">
        <v>0</v>
      </c>
      <c r="D12" s="10">
        <v>0</v>
      </c>
      <c r="E12" s="11">
        <v>0</v>
      </c>
      <c r="F12" s="10"/>
      <c r="G12" s="18">
        <v>5</v>
      </c>
      <c r="H12" s="18">
        <v>5</v>
      </c>
      <c r="I12" s="18">
        <v>5</v>
      </c>
      <c r="K12" s="1" t="s">
        <v>13</v>
      </c>
      <c r="L12" s="15">
        <v>14.95</v>
      </c>
      <c r="M12" s="23">
        <v>1000</v>
      </c>
      <c r="N12" s="23">
        <v>1000</v>
      </c>
      <c r="P12" s="1" t="s">
        <v>13</v>
      </c>
      <c r="Q12" s="23">
        <v>1000</v>
      </c>
      <c r="R12" s="23">
        <v>1000</v>
      </c>
      <c r="S12" s="23">
        <v>1000</v>
      </c>
    </row>
    <row r="13" spans="1:21">
      <c r="A13" s="55" t="s">
        <v>6</v>
      </c>
      <c r="B13" s="1" t="s">
        <v>22</v>
      </c>
      <c r="C13" s="9">
        <v>2</v>
      </c>
      <c r="D13" s="10">
        <v>0</v>
      </c>
      <c r="E13" s="11">
        <v>0</v>
      </c>
      <c r="F13" s="10"/>
      <c r="G13" s="17">
        <v>9</v>
      </c>
      <c r="H13" s="17">
        <v>9</v>
      </c>
      <c r="I13" s="17">
        <v>9</v>
      </c>
      <c r="K13" s="1" t="s">
        <v>22</v>
      </c>
      <c r="L13" s="15">
        <v>39.950000000000003</v>
      </c>
      <c r="M13" s="15">
        <v>49.95</v>
      </c>
      <c r="N13" s="15">
        <v>79.95</v>
      </c>
      <c r="P13" s="1" t="s">
        <v>22</v>
      </c>
      <c r="Q13" s="15">
        <v>33.99</v>
      </c>
      <c r="R13" s="15">
        <v>41.99</v>
      </c>
      <c r="S13" s="15">
        <v>67.989999999999995</v>
      </c>
    </row>
    <row r="14" spans="1:21">
      <c r="A14" s="55"/>
      <c r="B14" s="1" t="s">
        <v>7</v>
      </c>
      <c r="C14" s="9">
        <v>0</v>
      </c>
      <c r="D14" s="10">
        <v>0</v>
      </c>
      <c r="E14" s="11">
        <v>0</v>
      </c>
      <c r="F14" s="10"/>
      <c r="G14" s="17">
        <v>8</v>
      </c>
      <c r="H14" s="17">
        <v>8</v>
      </c>
      <c r="I14" s="17">
        <v>8</v>
      </c>
      <c r="K14" s="1" t="s">
        <v>7</v>
      </c>
      <c r="L14" s="15">
        <v>26.95</v>
      </c>
      <c r="M14" s="15">
        <v>33.950000000000003</v>
      </c>
      <c r="N14" s="15">
        <v>51.95</v>
      </c>
      <c r="P14" s="1" t="s">
        <v>7</v>
      </c>
      <c r="Q14" s="23">
        <v>1000</v>
      </c>
      <c r="R14" s="15">
        <v>28.99</v>
      </c>
      <c r="S14" s="15">
        <v>43.99</v>
      </c>
    </row>
    <row r="15" spans="1:21">
      <c r="A15" s="55"/>
      <c r="B15" s="1" t="s">
        <v>12</v>
      </c>
      <c r="C15" s="9">
        <v>0</v>
      </c>
      <c r="D15" s="10">
        <v>0</v>
      </c>
      <c r="E15" s="11">
        <v>0</v>
      </c>
      <c r="F15" s="10"/>
      <c r="G15" s="18">
        <v>4</v>
      </c>
      <c r="H15" s="18">
        <v>4</v>
      </c>
      <c r="I15" s="18">
        <v>4</v>
      </c>
      <c r="K15" s="1" t="s">
        <v>12</v>
      </c>
      <c r="L15" s="15">
        <v>15.95</v>
      </c>
      <c r="M15" s="23">
        <v>1000</v>
      </c>
      <c r="N15" s="23">
        <v>1000</v>
      </c>
      <c r="P15" s="1" t="s">
        <v>12</v>
      </c>
      <c r="Q15" s="23">
        <v>1000</v>
      </c>
      <c r="R15" s="23">
        <v>1000</v>
      </c>
      <c r="S15" s="15">
        <v>23.99</v>
      </c>
    </row>
    <row r="16" spans="1:21">
      <c r="A16" s="55" t="s">
        <v>14</v>
      </c>
      <c r="B16" s="1" t="s">
        <v>23</v>
      </c>
      <c r="C16" s="9">
        <v>3</v>
      </c>
      <c r="D16" s="10">
        <v>0</v>
      </c>
      <c r="E16" s="11">
        <v>0</v>
      </c>
      <c r="F16" s="10"/>
      <c r="G16" s="17">
        <v>9</v>
      </c>
      <c r="H16" s="17">
        <v>9</v>
      </c>
      <c r="I16" s="17">
        <v>9</v>
      </c>
      <c r="K16" s="1" t="s">
        <v>23</v>
      </c>
      <c r="L16" s="15">
        <v>32.950000000000003</v>
      </c>
      <c r="M16" s="23">
        <v>1000</v>
      </c>
      <c r="N16" s="23">
        <v>1000</v>
      </c>
      <c r="P16" s="1" t="s">
        <v>23</v>
      </c>
      <c r="Q16" s="15">
        <v>32.99</v>
      </c>
      <c r="R16" s="23">
        <v>1000</v>
      </c>
      <c r="S16" s="23">
        <v>1000</v>
      </c>
    </row>
    <row r="17" spans="1:19">
      <c r="A17" s="55"/>
      <c r="B17" s="1" t="s">
        <v>50</v>
      </c>
      <c r="C17" s="9">
        <v>0</v>
      </c>
      <c r="D17" s="10">
        <v>0</v>
      </c>
      <c r="E17" s="11">
        <v>0</v>
      </c>
      <c r="F17" s="10"/>
      <c r="G17" s="17">
        <v>7</v>
      </c>
      <c r="H17" s="17">
        <v>7</v>
      </c>
      <c r="I17" s="17">
        <v>7</v>
      </c>
      <c r="K17" s="1" t="s">
        <v>50</v>
      </c>
      <c r="L17" s="15">
        <v>21.95</v>
      </c>
      <c r="M17" s="23">
        <v>1000</v>
      </c>
      <c r="N17" s="23">
        <v>1000</v>
      </c>
      <c r="P17" s="1" t="s">
        <v>50</v>
      </c>
      <c r="Q17" s="23">
        <v>1000</v>
      </c>
      <c r="R17" s="15">
        <v>21.99</v>
      </c>
      <c r="S17" s="15">
        <v>29.99</v>
      </c>
    </row>
    <row r="18" spans="1:19">
      <c r="A18" s="55"/>
      <c r="B18" s="1" t="s">
        <v>15</v>
      </c>
      <c r="C18" s="9">
        <v>0</v>
      </c>
      <c r="D18" s="10">
        <v>0</v>
      </c>
      <c r="E18" s="11">
        <v>0</v>
      </c>
      <c r="F18" s="10"/>
      <c r="G18" s="18">
        <v>6</v>
      </c>
      <c r="H18" s="18">
        <v>6</v>
      </c>
      <c r="I18" s="18">
        <v>6</v>
      </c>
      <c r="K18" s="1" t="s">
        <v>15</v>
      </c>
      <c r="L18" s="15">
        <v>16.95</v>
      </c>
      <c r="M18" s="15">
        <v>19.95</v>
      </c>
      <c r="N18" s="15">
        <v>31.95</v>
      </c>
      <c r="P18" s="1" t="s">
        <v>15</v>
      </c>
      <c r="Q18" s="23">
        <v>1000</v>
      </c>
      <c r="R18" s="15">
        <v>15.99</v>
      </c>
      <c r="S18" s="15">
        <v>24.99</v>
      </c>
    </row>
    <row r="19" spans="1:19">
      <c r="A19" s="55" t="s">
        <v>16</v>
      </c>
      <c r="B19" s="1">
        <v>1800</v>
      </c>
      <c r="C19" s="9">
        <v>1</v>
      </c>
      <c r="D19" s="10">
        <v>0</v>
      </c>
      <c r="E19" s="11">
        <v>0</v>
      </c>
      <c r="F19" s="10"/>
      <c r="G19" s="17">
        <v>6</v>
      </c>
      <c r="H19" s="17">
        <v>6</v>
      </c>
      <c r="I19" s="17">
        <v>6</v>
      </c>
      <c r="K19" s="1">
        <v>1800</v>
      </c>
      <c r="L19" s="15">
        <v>28.95</v>
      </c>
      <c r="M19" s="23">
        <v>1000</v>
      </c>
      <c r="N19" s="23">
        <v>1000</v>
      </c>
      <c r="P19" s="1">
        <v>1800</v>
      </c>
      <c r="Q19" s="15">
        <v>24.99</v>
      </c>
      <c r="R19" s="23">
        <v>1000</v>
      </c>
      <c r="S19" s="23">
        <v>1000</v>
      </c>
    </row>
    <row r="20" spans="1:19">
      <c r="A20" s="55"/>
      <c r="B20" s="1" t="s">
        <v>17</v>
      </c>
      <c r="C20" s="9">
        <v>0</v>
      </c>
      <c r="D20" s="10">
        <v>0</v>
      </c>
      <c r="E20" s="11">
        <v>0</v>
      </c>
      <c r="F20" s="10"/>
      <c r="G20" s="17">
        <v>5</v>
      </c>
      <c r="H20" s="17">
        <v>5</v>
      </c>
      <c r="I20" s="17">
        <v>5</v>
      </c>
      <c r="K20" s="1" t="s">
        <v>17</v>
      </c>
      <c r="L20" s="15">
        <v>21.95</v>
      </c>
      <c r="M20" s="23">
        <v>1000</v>
      </c>
      <c r="N20" s="23">
        <v>1000</v>
      </c>
      <c r="P20" s="1" t="s">
        <v>17</v>
      </c>
      <c r="Q20" s="23">
        <v>1000</v>
      </c>
      <c r="R20" s="15">
        <v>19.989999999999998</v>
      </c>
      <c r="S20" s="15">
        <v>34.99</v>
      </c>
    </row>
    <row r="21" spans="1:19" ht="15.75" thickBot="1">
      <c r="A21" s="55"/>
      <c r="B21" s="1" t="s">
        <v>18</v>
      </c>
      <c r="C21" s="12">
        <v>0</v>
      </c>
      <c r="D21" s="13">
        <v>0</v>
      </c>
      <c r="E21" s="14">
        <v>0</v>
      </c>
      <c r="F21" s="10"/>
      <c r="G21" s="18">
        <v>4</v>
      </c>
      <c r="H21" s="18">
        <v>4</v>
      </c>
      <c r="I21" s="18">
        <v>4</v>
      </c>
      <c r="K21" s="1" t="s">
        <v>18</v>
      </c>
      <c r="L21" s="15">
        <v>17.95</v>
      </c>
      <c r="M21" s="23">
        <v>1000</v>
      </c>
      <c r="N21" s="23">
        <v>1000</v>
      </c>
      <c r="P21" s="1" t="s">
        <v>18</v>
      </c>
      <c r="Q21" s="23">
        <v>1000</v>
      </c>
      <c r="R21" s="15">
        <v>17.989999999999998</v>
      </c>
      <c r="S21" s="23">
        <v>1000</v>
      </c>
    </row>
    <row r="22" spans="1:19" ht="15.75" thickTop="1">
      <c r="B22" s="1"/>
      <c r="C22" s="2">
        <f>SUM(C7:C21)</f>
        <v>7</v>
      </c>
      <c r="D22" s="2">
        <f t="shared" ref="D22:E22" si="0">SUM(D7:D21)</f>
        <v>4</v>
      </c>
      <c r="E22" s="2">
        <f t="shared" si="0"/>
        <v>0</v>
      </c>
    </row>
    <row r="23" spans="1:19">
      <c r="A23" s="4" t="s">
        <v>28</v>
      </c>
      <c r="B23" s="1"/>
      <c r="C23" s="1"/>
      <c r="D23" s="1"/>
      <c r="E23" s="1"/>
      <c r="K23" s="1" t="s">
        <v>21</v>
      </c>
      <c r="L23" s="15">
        <f>L5*SUMPRODUCT(C7:E21,L7:N21)</f>
        <v>0</v>
      </c>
      <c r="P23" s="1" t="s">
        <v>21</v>
      </c>
      <c r="Q23" s="15">
        <f>SUMPRODUCT(C7:E21,Q7:S21)</f>
        <v>299.89</v>
      </c>
    </row>
    <row r="24" spans="1:19">
      <c r="A24" t="s">
        <v>45</v>
      </c>
      <c r="B24" s="21">
        <v>0.9</v>
      </c>
      <c r="D24" s="1"/>
      <c r="E24" s="1"/>
      <c r="K24" s="1" t="s">
        <v>31</v>
      </c>
      <c r="L24">
        <f>IF(L23&gt;75,1,0)</f>
        <v>0</v>
      </c>
      <c r="P24" s="1" t="s">
        <v>33</v>
      </c>
      <c r="Q24">
        <f>IF(Q23&gt;70,1,0)</f>
        <v>1</v>
      </c>
    </row>
    <row r="25" spans="1:19">
      <c r="A25" t="s">
        <v>29</v>
      </c>
      <c r="B25" s="17">
        <f>SUMPRODUCT(C5:E5,C22:E22)</f>
        <v>9250</v>
      </c>
      <c r="C25" s="2" t="s">
        <v>19</v>
      </c>
      <c r="D25" s="30">
        <f>'Simulation Output'!B36</f>
        <v>8542.415986305472</v>
      </c>
      <c r="E25" s="27" t="s">
        <v>34</v>
      </c>
      <c r="F25" s="29">
        <f>D25+750</f>
        <v>9292.415986305472</v>
      </c>
      <c r="K25" s="1" t="s">
        <v>32</v>
      </c>
      <c r="L25" s="15">
        <f>IF(L24=1,0,10*L5)</f>
        <v>0</v>
      </c>
      <c r="P25" s="1" t="s">
        <v>32</v>
      </c>
      <c r="Q25" s="15">
        <f>IF(Q24=1,0,Q5*10)</f>
        <v>0</v>
      </c>
    </row>
    <row r="26" spans="1:19">
      <c r="A26" t="s">
        <v>30</v>
      </c>
      <c r="B26" s="20">
        <f>L26+Q26</f>
        <v>299.89</v>
      </c>
      <c r="C26" s="2" t="s">
        <v>34</v>
      </c>
      <c r="D26" s="22">
        <v>300</v>
      </c>
      <c r="K26" s="1" t="s">
        <v>26</v>
      </c>
      <c r="L26" s="15">
        <f>L23+L25</f>
        <v>0</v>
      </c>
      <c r="P26" s="1" t="s">
        <v>26</v>
      </c>
      <c r="Q26" s="15">
        <f>Q23+Q25</f>
        <v>299.89</v>
      </c>
    </row>
    <row r="27" spans="1:19">
      <c r="B27" s="48" t="s">
        <v>70</v>
      </c>
      <c r="C27" s="37"/>
      <c r="D27" s="22"/>
      <c r="F27" s="4" t="s">
        <v>69</v>
      </c>
      <c r="K27" s="1"/>
      <c r="L27" s="15"/>
      <c r="P27" s="1"/>
      <c r="Q27" s="15"/>
    </row>
    <row r="28" spans="1:19">
      <c r="A28" t="s">
        <v>0</v>
      </c>
      <c r="B28">
        <f>SUM(C7:E9)</f>
        <v>4</v>
      </c>
      <c r="C28" s="3" t="s">
        <v>19</v>
      </c>
      <c r="D28" s="3">
        <v>1</v>
      </c>
      <c r="E28" s="27"/>
      <c r="F28" s="29">
        <f>SUMPRODUCT($C$3:$E$5,C7:E9)</f>
        <v>4000</v>
      </c>
    </row>
    <row r="29" spans="1:19">
      <c r="A29" t="s">
        <v>8</v>
      </c>
      <c r="B29">
        <f>SUM(C10:E12)</f>
        <v>1</v>
      </c>
      <c r="C29" s="3" t="s">
        <v>19</v>
      </c>
      <c r="D29" s="3">
        <v>1</v>
      </c>
      <c r="E29" s="27"/>
      <c r="F29" s="29">
        <f>SUMPRODUCT($C$3:$E$5,C10:E12)</f>
        <v>750</v>
      </c>
    </row>
    <row r="30" spans="1:19">
      <c r="A30" t="s">
        <v>6</v>
      </c>
      <c r="B30">
        <f>SUM(C13:E15)</f>
        <v>2</v>
      </c>
      <c r="C30" s="3" t="s">
        <v>19</v>
      </c>
      <c r="D30" s="3">
        <v>1</v>
      </c>
      <c r="E30" s="27"/>
      <c r="F30" s="29">
        <f>SUMPRODUCT($C$3:$E$5,C13:E15)</f>
        <v>1500</v>
      </c>
      <c r="K30" s="4"/>
    </row>
    <row r="31" spans="1:19">
      <c r="A31" t="s">
        <v>14</v>
      </c>
      <c r="B31">
        <f>SUM(C16:E18)</f>
        <v>3</v>
      </c>
      <c r="C31" s="3" t="s">
        <v>19</v>
      </c>
      <c r="D31" s="3">
        <v>1</v>
      </c>
      <c r="E31" s="27"/>
      <c r="F31" s="29">
        <f>SUMPRODUCT($C$3:$E$5,C16:E18)</f>
        <v>2250</v>
      </c>
    </row>
    <row r="32" spans="1:19">
      <c r="A32" t="s">
        <v>16</v>
      </c>
      <c r="B32">
        <f>SUM(C19:E21)</f>
        <v>1</v>
      </c>
      <c r="C32" s="3" t="s">
        <v>19</v>
      </c>
      <c r="D32" s="3">
        <v>1</v>
      </c>
      <c r="E32" s="27"/>
      <c r="F32" s="29">
        <f>SUMPRODUCT($C$3:$E$5,C19:E21)</f>
        <v>750</v>
      </c>
    </row>
    <row r="33" spans="6:6">
      <c r="F33" s="29"/>
    </row>
  </sheetData>
  <mergeCells count="5">
    <mergeCell ref="A7:A9"/>
    <mergeCell ref="A10:A12"/>
    <mergeCell ref="A13:A15"/>
    <mergeCell ref="A16:A18"/>
    <mergeCell ref="A19:A21"/>
  </mergeCells>
  <printOptions headings="1" gridLines="1"/>
  <pageMargins left="0.7" right="0.7" top="0.75" bottom="0.75" header="0.3" footer="0.3"/>
  <pageSetup orientation="portrait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/>
  </sheetViews>
  <sheetFormatPr defaultRowHeight="15"/>
  <sheetData>
    <row r="1" spans="1:2">
      <c r="A1" t="s">
        <v>21</v>
      </c>
      <c r="B1" t="s">
        <v>20</v>
      </c>
    </row>
    <row r="2" spans="1:2">
      <c r="A2" s="20">
        <v>179.91</v>
      </c>
      <c r="B2">
        <v>62</v>
      </c>
    </row>
    <row r="3" spans="1:2">
      <c r="A3" s="20">
        <v>195.91</v>
      </c>
      <c r="B3">
        <v>65</v>
      </c>
    </row>
    <row r="4" spans="1:2">
      <c r="A4" s="20">
        <v>218.90000000000003</v>
      </c>
      <c r="B4">
        <v>73</v>
      </c>
    </row>
    <row r="5" spans="1:2">
      <c r="A5" s="20">
        <v>248.9</v>
      </c>
      <c r="B5">
        <v>79</v>
      </c>
    </row>
    <row r="6" spans="1:2">
      <c r="A6" s="20">
        <v>299.89</v>
      </c>
      <c r="B6">
        <v>89</v>
      </c>
    </row>
    <row r="7" spans="1:2">
      <c r="A7" s="20">
        <v>348.89</v>
      </c>
      <c r="B7">
        <v>95</v>
      </c>
    </row>
    <row r="8" spans="1:2">
      <c r="A8" s="20">
        <v>391.88</v>
      </c>
      <c r="B8">
        <v>105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0"/>
  <sheetViews>
    <sheetView workbookViewId="0"/>
  </sheetViews>
  <sheetFormatPr defaultRowHeight="15"/>
  <cols>
    <col min="1" max="1" width="10" customWidth="1"/>
    <col min="2" max="2" width="10.28515625" bestFit="1" customWidth="1"/>
    <col min="3" max="3" width="11.140625" bestFit="1" customWidth="1"/>
    <col min="4" max="4" width="16.140625" bestFit="1" customWidth="1"/>
    <col min="5" max="5" width="10.28515625" bestFit="1" customWidth="1"/>
    <col min="13" max="13" width="11" bestFit="1" customWidth="1"/>
  </cols>
  <sheetData>
    <row r="1" spans="1:13" s="27" customFormat="1">
      <c r="A1" s="38" t="s">
        <v>46</v>
      </c>
      <c r="B1" s="38" t="s">
        <v>51</v>
      </c>
      <c r="C1" s="38" t="s">
        <v>74</v>
      </c>
      <c r="D1" s="38" t="s">
        <v>47</v>
      </c>
      <c r="E1" s="38" t="s">
        <v>71</v>
      </c>
      <c r="F1" s="38" t="s">
        <v>52</v>
      </c>
      <c r="G1" s="38" t="s">
        <v>53</v>
      </c>
      <c r="H1" s="56" t="s">
        <v>54</v>
      </c>
      <c r="I1" s="56"/>
      <c r="J1" s="38" t="s">
        <v>21</v>
      </c>
      <c r="K1" s="38"/>
      <c r="L1" s="49" t="s">
        <v>73</v>
      </c>
      <c r="M1" s="49" t="s">
        <v>72</v>
      </c>
    </row>
    <row r="2" spans="1:13">
      <c r="A2" t="s">
        <v>0</v>
      </c>
      <c r="B2" s="29">
        <f>'Optimization Model'!F28</f>
        <v>4000</v>
      </c>
      <c r="C2" s="29">
        <f>B2*2</f>
        <v>8000</v>
      </c>
      <c r="D2" t="s">
        <v>56</v>
      </c>
      <c r="E2" s="36">
        <v>0.4</v>
      </c>
      <c r="F2" s="29">
        <f>E2*C2</f>
        <v>3200</v>
      </c>
      <c r="G2" s="33">
        <f>F2*0.0338140227</f>
        <v>108.20487264</v>
      </c>
      <c r="H2" s="32">
        <f>G2/L2</f>
        <v>3.2013275928994087</v>
      </c>
      <c r="I2" s="31">
        <f>ROUNDUP(H2,0)</f>
        <v>4</v>
      </c>
      <c r="J2" s="34">
        <f>M2*I2</f>
        <v>6.76</v>
      </c>
      <c r="K2" s="34"/>
      <c r="L2" s="50">
        <f>L5/2</f>
        <v>33.799999999999997</v>
      </c>
      <c r="M2" s="51">
        <v>1.69</v>
      </c>
    </row>
    <row r="3" spans="1:13">
      <c r="B3" s="29"/>
      <c r="C3" s="29"/>
      <c r="D3" t="s">
        <v>57</v>
      </c>
      <c r="E3" s="36">
        <v>0.6</v>
      </c>
      <c r="F3" s="29">
        <f>E3*C2</f>
        <v>4800</v>
      </c>
      <c r="G3" s="33">
        <f t="shared" ref="G3:G7" si="0">F3*0.0338140227</f>
        <v>162.30730896</v>
      </c>
      <c r="H3" s="32">
        <f t="shared" ref="H3:H7" si="1">G3/L3</f>
        <v>2.5360517025</v>
      </c>
      <c r="I3" s="31">
        <f t="shared" ref="I3:I7" si="2">ROUNDUP(H3,0)</f>
        <v>3</v>
      </c>
      <c r="J3" s="34">
        <f t="shared" ref="J3:J7" si="3">M3*I3</f>
        <v>11.370000000000001</v>
      </c>
      <c r="K3" s="34"/>
      <c r="L3" s="50">
        <v>64</v>
      </c>
      <c r="M3" s="51">
        <v>3.79</v>
      </c>
    </row>
    <row r="4" spans="1:13">
      <c r="A4" t="s">
        <v>8</v>
      </c>
      <c r="B4" s="29">
        <f>'Optimization Model'!F29</f>
        <v>750</v>
      </c>
      <c r="C4" s="29">
        <f>B4*2</f>
        <v>1500</v>
      </c>
      <c r="D4" t="s">
        <v>56</v>
      </c>
      <c r="E4" s="36">
        <v>1</v>
      </c>
      <c r="F4" s="29">
        <f t="shared" ref="F4:F7" si="4">E4*C4</f>
        <v>1500</v>
      </c>
      <c r="G4" s="33">
        <f t="shared" si="0"/>
        <v>50.72103405</v>
      </c>
      <c r="H4" s="32">
        <f t="shared" si="1"/>
        <v>1.5006223091715978</v>
      </c>
      <c r="I4" s="31">
        <f t="shared" si="2"/>
        <v>2</v>
      </c>
      <c r="J4" s="34">
        <f t="shared" si="3"/>
        <v>3.38</v>
      </c>
      <c r="K4" s="34"/>
      <c r="L4" s="50">
        <f>L7/2</f>
        <v>33.799999999999997</v>
      </c>
      <c r="M4" s="51">
        <v>1.69</v>
      </c>
    </row>
    <row r="5" spans="1:13">
      <c r="A5" t="s">
        <v>6</v>
      </c>
      <c r="B5" s="29">
        <f>'Optimization Model'!F30</f>
        <v>1500</v>
      </c>
      <c r="C5" s="29">
        <f>B5*2</f>
        <v>3000</v>
      </c>
      <c r="D5" t="s">
        <v>58</v>
      </c>
      <c r="E5" s="36">
        <v>0.6</v>
      </c>
      <c r="F5" s="29">
        <f t="shared" si="4"/>
        <v>1800</v>
      </c>
      <c r="G5" s="33">
        <f t="shared" si="0"/>
        <v>60.86524086</v>
      </c>
      <c r="H5" s="32">
        <f t="shared" si="1"/>
        <v>0.90037338550295865</v>
      </c>
      <c r="I5" s="31">
        <f t="shared" si="2"/>
        <v>1</v>
      </c>
      <c r="J5" s="34">
        <f t="shared" si="3"/>
        <v>1.89</v>
      </c>
      <c r="K5" s="34"/>
      <c r="L5" s="50">
        <v>67.599999999999994</v>
      </c>
      <c r="M5" s="51">
        <v>1.89</v>
      </c>
    </row>
    <row r="6" spans="1:13">
      <c r="B6" s="29"/>
      <c r="C6" s="29"/>
      <c r="D6" t="s">
        <v>59</v>
      </c>
      <c r="E6" s="36">
        <v>0.4</v>
      </c>
      <c r="F6" s="29">
        <f>E6*C5</f>
        <v>1200</v>
      </c>
      <c r="G6" s="33">
        <f t="shared" si="0"/>
        <v>40.57682724</v>
      </c>
      <c r="H6" s="32">
        <f t="shared" si="1"/>
        <v>0.60024892366863913</v>
      </c>
      <c r="I6" s="31">
        <f t="shared" si="2"/>
        <v>1</v>
      </c>
      <c r="J6" s="34">
        <f t="shared" si="3"/>
        <v>1.89</v>
      </c>
      <c r="K6" s="34"/>
      <c r="L6" s="50">
        <v>67.599999999999994</v>
      </c>
      <c r="M6" s="51">
        <v>1.89</v>
      </c>
    </row>
    <row r="7" spans="1:13">
      <c r="A7" t="s">
        <v>14</v>
      </c>
      <c r="B7" s="29">
        <f>'Optimization Model'!F31</f>
        <v>2250</v>
      </c>
      <c r="C7" s="29">
        <f>B7*2</f>
        <v>4500</v>
      </c>
      <c r="D7" t="s">
        <v>58</v>
      </c>
      <c r="E7" s="36">
        <v>1</v>
      </c>
      <c r="F7" s="29">
        <f t="shared" si="4"/>
        <v>4500</v>
      </c>
      <c r="G7" s="33">
        <f t="shared" si="0"/>
        <v>152.16310215000001</v>
      </c>
      <c r="H7" s="32">
        <f t="shared" si="1"/>
        <v>2.2509334637573968</v>
      </c>
      <c r="I7" s="31">
        <f t="shared" si="2"/>
        <v>3</v>
      </c>
      <c r="J7" s="34">
        <f t="shared" si="3"/>
        <v>5.67</v>
      </c>
      <c r="K7" s="34"/>
      <c r="L7" s="50">
        <v>67.599999999999994</v>
      </c>
      <c r="M7" s="51">
        <v>1.89</v>
      </c>
    </row>
    <row r="8" spans="1:13">
      <c r="A8" t="s">
        <v>16</v>
      </c>
      <c r="B8" s="29">
        <f>'Optimization Model'!F32</f>
        <v>750</v>
      </c>
      <c r="C8" s="29"/>
      <c r="D8" t="s">
        <v>48</v>
      </c>
      <c r="E8" s="36"/>
      <c r="M8" s="34"/>
    </row>
    <row r="11" spans="1:13">
      <c r="A11" t="s">
        <v>75</v>
      </c>
    </row>
    <row r="13" spans="1:13">
      <c r="D13" s="52" t="s">
        <v>47</v>
      </c>
      <c r="E13" s="52" t="s">
        <v>60</v>
      </c>
      <c r="F13" s="52" t="s">
        <v>21</v>
      </c>
    </row>
    <row r="14" spans="1:13">
      <c r="D14" t="s">
        <v>56</v>
      </c>
      <c r="E14">
        <f ca="1">SUMIF($D$2:$D$8,D14,$I$2:$I$7)</f>
        <v>6</v>
      </c>
      <c r="F14" s="34">
        <f ca="1">SUMIF($D$2:$D$8,D14,$J$2:$J$7)</f>
        <v>10.14</v>
      </c>
    </row>
    <row r="15" spans="1:13">
      <c r="D15" t="s">
        <v>57</v>
      </c>
      <c r="E15">
        <f t="shared" ref="E15:E17" ca="1" si="5">SUMIF($D$2:$D$8,D15,$I$2:$I$7)</f>
        <v>3</v>
      </c>
      <c r="F15" s="34">
        <f t="shared" ref="F15:F17" ca="1" si="6">SUMIF($D$2:$D$8,D15,$J$2:$J$7)</f>
        <v>11.370000000000001</v>
      </c>
    </row>
    <row r="16" spans="1:13">
      <c r="D16" t="s">
        <v>58</v>
      </c>
      <c r="E16">
        <f t="shared" ca="1" si="5"/>
        <v>4</v>
      </c>
      <c r="F16" s="34">
        <f t="shared" ca="1" si="6"/>
        <v>7.56</v>
      </c>
    </row>
    <row r="17" spans="4:6">
      <c r="D17" t="s">
        <v>59</v>
      </c>
      <c r="E17">
        <f t="shared" ca="1" si="5"/>
        <v>1</v>
      </c>
      <c r="F17" s="34">
        <f t="shared" ca="1" si="6"/>
        <v>1.89</v>
      </c>
    </row>
    <row r="18" spans="4:6">
      <c r="D18" s="39" t="s">
        <v>61</v>
      </c>
      <c r="E18">
        <f ca="1">SUM(E14:E17)</f>
        <v>14</v>
      </c>
      <c r="F18" s="35">
        <f ca="1">SUM(F14:F17)</f>
        <v>30.96</v>
      </c>
    </row>
    <row r="19" spans="4:6" ht="15.75" thickBot="1">
      <c r="D19" s="40" t="s">
        <v>62</v>
      </c>
      <c r="E19" s="40"/>
      <c r="F19" s="41">
        <v>8.99</v>
      </c>
    </row>
    <row r="20" spans="4:6" ht="15.75" thickTop="1">
      <c r="D20" t="s">
        <v>55</v>
      </c>
      <c r="F20" s="35">
        <f ca="1">F18+F19</f>
        <v>39.950000000000003</v>
      </c>
    </row>
  </sheetData>
  <mergeCells count="1">
    <mergeCell ref="H1:I1"/>
  </mergeCells>
  <printOptions headings="1" gridLines="1"/>
  <pageMargins left="0.7" right="0.7" top="0.75" bottom="0.75" header="0.3" footer="0.3"/>
  <pageSetup orientation="portrait" cellComments="asDisplayed" r:id="rId1"/>
  <ignoredErrors>
    <ignoredError sqref="F3 F6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Simulation Model</vt:lpstr>
      <vt:lpstr>Simulation Output</vt:lpstr>
      <vt:lpstr>Optimization Model</vt:lpstr>
      <vt:lpstr>Frontier</vt:lpstr>
      <vt:lpstr>Mixers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ajg292</dc:creator>
  <cp:lastModifiedBy>ajg292</cp:lastModifiedBy>
  <dcterms:created xsi:type="dcterms:W3CDTF">2009-12-01T15:45:50Z</dcterms:created>
  <dcterms:modified xsi:type="dcterms:W3CDTF">2009-12-13T20:20:57Z</dcterms:modified>
</cp:coreProperties>
</file>